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cturer - Screen\Downloads\"/>
    </mc:Choice>
  </mc:AlternateContent>
  <xr:revisionPtr revIDLastSave="0" documentId="13_ncr:1_{64744B96-23D7-4DAE-81D7-EA106B937E4A}" xr6:coauthVersionLast="47" xr6:coauthVersionMax="47" xr10:uidLastSave="{00000000-0000-0000-0000-000000000000}"/>
  <bookViews>
    <workbookView xWindow="-120" yWindow="-120" windowWidth="15600" windowHeight="11040" activeTab="1" xr2:uid="{86110031-812B-4386-AB79-76A8C1786AC6}"/>
  </bookViews>
  <sheets>
    <sheet name="Sheet1" sheetId="1" r:id="rId1"/>
    <sheet name="NPV" sheetId="3" r:id="rId2"/>
    <sheet name="Sheet2" sheetId="2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3" l="1"/>
  <c r="E9" i="3"/>
  <c r="F6" i="3"/>
  <c r="F7" i="3"/>
  <c r="F8" i="3"/>
  <c r="F9" i="3"/>
  <c r="F5" i="3"/>
  <c r="G5" i="3" s="1"/>
  <c r="I45" i="1"/>
  <c r="G8" i="3"/>
  <c r="G7" i="3"/>
  <c r="G6" i="3"/>
  <c r="H5" i="3"/>
  <c r="E8" i="3"/>
  <c r="E7" i="3"/>
  <c r="E6" i="3"/>
  <c r="E5" i="3"/>
  <c r="E4" i="3"/>
  <c r="D6" i="3"/>
  <c r="D7" i="3" s="1"/>
  <c r="D8" i="3" s="1"/>
  <c r="D9" i="3" s="1"/>
  <c r="F47" i="1"/>
  <c r="G47" i="1"/>
  <c r="H47" i="1"/>
  <c r="I47" i="1"/>
  <c r="E47" i="1"/>
  <c r="I46" i="1"/>
  <c r="I38" i="1"/>
  <c r="H38" i="1"/>
  <c r="G38" i="1"/>
  <c r="F38" i="1"/>
  <c r="E38" i="1"/>
  <c r="F53" i="1"/>
  <c r="H53" i="1" s="1"/>
  <c r="I53" i="1" s="1"/>
  <c r="F54" i="1" s="1"/>
  <c r="G53" i="1"/>
  <c r="G54" i="1"/>
  <c r="G55" i="1"/>
  <c r="I52" i="1"/>
  <c r="H52" i="1"/>
  <c r="F52" i="1"/>
  <c r="I51" i="1"/>
  <c r="H51" i="1"/>
  <c r="H88" i="1"/>
  <c r="G88" i="1"/>
  <c r="G80" i="1"/>
  <c r="G81" i="1"/>
  <c r="G82" i="1"/>
  <c r="G83" i="1"/>
  <c r="G79" i="1"/>
  <c r="G78" i="1"/>
  <c r="H65" i="1"/>
  <c r="G66" i="1"/>
  <c r="G67" i="1"/>
  <c r="G68" i="1"/>
  <c r="G69" i="1"/>
  <c r="G70" i="1"/>
  <c r="G65" i="1"/>
  <c r="F65" i="1"/>
  <c r="E42" i="1"/>
  <c r="G52" i="1"/>
  <c r="G51" i="1"/>
  <c r="F39" i="1"/>
  <c r="F51" i="1"/>
  <c r="F37" i="1"/>
  <c r="G37" i="1"/>
  <c r="H37" i="1"/>
  <c r="I37" i="1"/>
  <c r="E37" i="1"/>
  <c r="G36" i="1"/>
  <c r="H36" i="1"/>
  <c r="I36" i="1"/>
  <c r="F36" i="1"/>
  <c r="E36" i="1"/>
  <c r="G35" i="1"/>
  <c r="H35" i="1" s="1"/>
  <c r="I35" i="1" s="1"/>
  <c r="F35" i="1"/>
  <c r="E35" i="1"/>
  <c r="F33" i="1"/>
  <c r="G33" i="1"/>
  <c r="H33" i="1"/>
  <c r="I33" i="1"/>
  <c r="E33" i="1"/>
  <c r="F32" i="1"/>
  <c r="G32" i="1"/>
  <c r="H32" i="1"/>
  <c r="I32" i="1"/>
  <c r="E32" i="1"/>
  <c r="E31" i="1"/>
  <c r="F31" i="1" s="1"/>
  <c r="G31" i="1" s="1"/>
  <c r="H31" i="1" s="1"/>
  <c r="I31" i="1" s="1"/>
  <c r="G9" i="3" l="1"/>
  <c r="G10" i="3" s="1"/>
  <c r="H54" i="1"/>
  <c r="I54" i="1"/>
  <c r="F55" i="1" s="1"/>
  <c r="F42" i="1"/>
  <c r="E39" i="1"/>
  <c r="E40" i="1" s="1"/>
  <c r="E41" i="1" s="1"/>
  <c r="E43" i="1" s="1"/>
  <c r="F66" i="1" s="1"/>
  <c r="H66" i="1" s="1"/>
  <c r="F40" i="1"/>
  <c r="F41" i="1" s="1"/>
  <c r="F43" i="1" s="1"/>
  <c r="F67" i="1" s="1"/>
  <c r="H67" i="1" s="1"/>
  <c r="G21" i="1"/>
  <c r="H21" i="1" s="1"/>
  <c r="G17" i="1"/>
  <c r="G16" i="1"/>
  <c r="G15" i="1"/>
  <c r="G9" i="1"/>
  <c r="G12" i="1"/>
  <c r="G11" i="1"/>
  <c r="G10" i="1"/>
  <c r="H7" i="1"/>
  <c r="H55" i="1" l="1"/>
  <c r="I55" i="1" s="1"/>
  <c r="H17" i="1"/>
  <c r="H12" i="1"/>
  <c r="H13" i="1" s="1"/>
  <c r="H18" i="1" s="1"/>
  <c r="H22" i="1" s="1"/>
  <c r="H42" i="1" l="1"/>
  <c r="H39" i="1"/>
  <c r="H40" i="1" s="1"/>
  <c r="H41" i="1" s="1"/>
  <c r="G42" i="1"/>
  <c r="G39" i="1"/>
  <c r="G40" i="1" s="1"/>
  <c r="G41" i="1" s="1"/>
  <c r="H43" i="1" l="1"/>
  <c r="F69" i="1" s="1"/>
  <c r="H69" i="1" s="1"/>
  <c r="G43" i="1"/>
  <c r="F68" i="1" s="1"/>
  <c r="H68" i="1" s="1"/>
  <c r="F59" i="1"/>
  <c r="F61" i="1" s="1"/>
  <c r="I42" i="1"/>
  <c r="I39" i="1"/>
  <c r="I40" i="1" s="1"/>
  <c r="I41" i="1" s="1"/>
  <c r="I43" i="1" s="1"/>
  <c r="F70" i="1" l="1"/>
  <c r="H70" i="1" s="1"/>
  <c r="F72" i="1" s="1"/>
</calcChain>
</file>

<file path=xl/sharedStrings.xml><?xml version="1.0" encoding="utf-8"?>
<sst xmlns="http://schemas.openxmlformats.org/spreadsheetml/2006/main" count="98" uniqueCount="79">
  <si>
    <t>Items</t>
  </si>
  <si>
    <t>Add: directly attributable costs</t>
  </si>
  <si>
    <t>transport</t>
  </si>
  <si>
    <t>insurance</t>
  </si>
  <si>
    <t>installation</t>
  </si>
  <si>
    <t>Total cost of asset/equipment</t>
  </si>
  <si>
    <t>Invoice value of asset/equipment</t>
  </si>
  <si>
    <t>Add: other costs</t>
  </si>
  <si>
    <t>Less: Benefits</t>
  </si>
  <si>
    <t>Net initial outlay</t>
  </si>
  <si>
    <t>Other fixed assets e.g., land, building</t>
  </si>
  <si>
    <t>Opportunity cost</t>
  </si>
  <si>
    <t>Increase in net working capital</t>
  </si>
  <si>
    <t>where a firm is making a replacement decision, the net salvage value of the old equipment would be reflected under benefits/inflows at initial outlay as a deduction</t>
  </si>
  <si>
    <t>UGX</t>
  </si>
  <si>
    <t>Total investment cost</t>
  </si>
  <si>
    <t>Revenue</t>
  </si>
  <si>
    <t>Add: cost savings</t>
  </si>
  <si>
    <t>Total revenue</t>
  </si>
  <si>
    <t>YR1</t>
  </si>
  <si>
    <t>YR2</t>
  </si>
  <si>
    <t>YR3</t>
  </si>
  <si>
    <t>YR4</t>
  </si>
  <si>
    <t>YR5</t>
  </si>
  <si>
    <t>Less: costs</t>
  </si>
  <si>
    <t>Variable costs</t>
  </si>
  <si>
    <t>Fixed costs/ operating expenses</t>
  </si>
  <si>
    <t>Earnings Before Depreciation Tax (EBDT)</t>
  </si>
  <si>
    <t>Less: Depreciation charge</t>
  </si>
  <si>
    <t>Earnings Before Tax (EBT)</t>
  </si>
  <si>
    <t>Less: Tax</t>
  </si>
  <si>
    <t>Earnings After Tax (EAT)</t>
  </si>
  <si>
    <t>Add back: Depreciation charge</t>
  </si>
  <si>
    <t>Intermediate cash flows</t>
  </si>
  <si>
    <t>Terminal cash flows</t>
  </si>
  <si>
    <t>Net operating cash flows</t>
  </si>
  <si>
    <t>Add: net salvage value</t>
  </si>
  <si>
    <t>working capital recovered</t>
  </si>
  <si>
    <t>import duty</t>
  </si>
  <si>
    <t xml:space="preserve">summary </t>
  </si>
  <si>
    <t>invoice value</t>
  </si>
  <si>
    <t>incidental/ attributable costs</t>
  </si>
  <si>
    <t>transportation</t>
  </si>
  <si>
    <t xml:space="preserve">land </t>
  </si>
  <si>
    <t>tax waiver on import duties</t>
  </si>
  <si>
    <t>land incentive</t>
  </si>
  <si>
    <t>machine salvage value</t>
  </si>
  <si>
    <t>sunk costs</t>
  </si>
  <si>
    <t xml:space="preserve">Consultancy fees </t>
  </si>
  <si>
    <t xml:space="preserve">market research costs </t>
  </si>
  <si>
    <t xml:space="preserve">increase net working capital </t>
  </si>
  <si>
    <t>Oportunity cost</t>
  </si>
  <si>
    <t>Depreciation rate</t>
  </si>
  <si>
    <t>sales</t>
  </si>
  <si>
    <t>variable cost</t>
  </si>
  <si>
    <t xml:space="preserve">operating expenses </t>
  </si>
  <si>
    <t>cost saving</t>
  </si>
  <si>
    <t xml:space="preserve">annual interest </t>
  </si>
  <si>
    <t xml:space="preserve">rate of return </t>
  </si>
  <si>
    <t xml:space="preserve">tax rate </t>
  </si>
  <si>
    <t>BV Investment ltd initial outlay</t>
  </si>
  <si>
    <t>import duty tax waiver (20%)</t>
  </si>
  <si>
    <t>project life</t>
  </si>
  <si>
    <t>Net salvage value = SV-t(SV-TNBV)</t>
  </si>
  <si>
    <t>NBV=COST-ACC. DEPN</t>
  </si>
  <si>
    <t>DEPN</t>
  </si>
  <si>
    <t>Year</t>
  </si>
  <si>
    <t>Opening book value</t>
  </si>
  <si>
    <t>rate</t>
  </si>
  <si>
    <t>depn charge</t>
  </si>
  <si>
    <t>NBV</t>
  </si>
  <si>
    <t>CF</t>
  </si>
  <si>
    <t>PV</t>
  </si>
  <si>
    <t>PVF (12%)</t>
  </si>
  <si>
    <t>NPV</t>
  </si>
  <si>
    <t>cummulative balance</t>
  </si>
  <si>
    <t>sv-t(sv-tnbv)</t>
  </si>
  <si>
    <t>Final net cash flows</t>
  </si>
  <si>
    <t>cashflows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</si>
</sst>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Leelawadee"/>
      <family val="2"/>
      <charset val="222"/>
    </font>
    <font>
      <b/>
      <sz val="12"/>
      <color theme="1"/>
      <name val="Leelawadee"/>
      <family val="2"/>
      <charset val="222"/>
    </font>
    <font>
      <sz val="11"/>
      <color theme="1"/>
      <name val="Calibri"/>
      <family val="2"/>
      <scheme val="minor"/>
    </font>
    <font>
      <sz val="12"/>
      <color theme="1"/>
      <name val="Leelawadee"/>
      <family val="2"/>
    </font>
    <font>
      <sz val="12"/>
      <color rgb="FFFF0000"/>
      <name val="Leelawadee"/>
      <family val="2"/>
    </font>
    <font>
      <sz val="12"/>
      <color rgb="FFFF0000"/>
      <name val="Leelawadee"/>
      <family val="2"/>
      <charset val="222"/>
    </font>
    <font>
      <sz val="16"/>
      <color theme="1"/>
      <name val="Leelawadee"/>
      <family val="2"/>
    </font>
    <font>
      <b/>
      <sz val="16"/>
      <color theme="1"/>
      <name val="Leelawadee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41" fontId="4" fillId="0" borderId="0" xfId="1" applyFont="1"/>
    <xf numFmtId="9" fontId="4" fillId="0" borderId="0" xfId="2" applyNumberFormat="1" applyFont="1"/>
    <xf numFmtId="9" fontId="4" fillId="0" borderId="0" xfId="2" applyFont="1"/>
    <xf numFmtId="9" fontId="4" fillId="0" borderId="0" xfId="0" applyNumberFormat="1" applyFont="1"/>
    <xf numFmtId="41" fontId="1" fillId="0" borderId="0" xfId="0" applyNumberFormat="1" applyFont="1"/>
    <xf numFmtId="41" fontId="2" fillId="0" borderId="0" xfId="0" applyNumberFormat="1" applyFont="1"/>
    <xf numFmtId="41" fontId="1" fillId="0" borderId="0" xfId="1" applyFont="1"/>
    <xf numFmtId="0" fontId="1" fillId="2" borderId="0" xfId="0" applyFont="1" applyFill="1"/>
    <xf numFmtId="0" fontId="2" fillId="2" borderId="0" xfId="0" applyFont="1" applyFill="1"/>
    <xf numFmtId="41" fontId="2" fillId="2" borderId="0" xfId="0" applyNumberFormat="1" applyFont="1" applyFill="1"/>
    <xf numFmtId="9" fontId="1" fillId="0" borderId="0" xfId="0" applyNumberFormat="1" applyFont="1"/>
    <xf numFmtId="2" fontId="1" fillId="0" borderId="0" xfId="0" applyNumberFormat="1" applyFont="1"/>
    <xf numFmtId="43" fontId="1" fillId="0" borderId="0" xfId="0" applyNumberFormat="1" applyFont="1"/>
    <xf numFmtId="0" fontId="6" fillId="0" borderId="0" xfId="0" applyFont="1"/>
    <xf numFmtId="0" fontId="2" fillId="3" borderId="0" xfId="0" applyFont="1" applyFill="1"/>
    <xf numFmtId="41" fontId="2" fillId="3" borderId="0" xfId="0" applyNumberFormat="1" applyFont="1" applyFill="1"/>
    <xf numFmtId="0" fontId="7" fillId="0" borderId="0" xfId="0" applyFont="1"/>
    <xf numFmtId="0" fontId="8" fillId="0" borderId="0" xfId="0" applyFont="1"/>
    <xf numFmtId="41" fontId="7" fillId="0" borderId="0" xfId="0" applyNumberFormat="1" applyFont="1"/>
    <xf numFmtId="2" fontId="7" fillId="0" borderId="0" xfId="0" applyNumberFormat="1" applyFont="1"/>
    <xf numFmtId="43" fontId="7" fillId="0" borderId="0" xfId="0" applyNumberFormat="1" applyFont="1"/>
    <xf numFmtId="41" fontId="7" fillId="0" borderId="0" xfId="1" applyFont="1"/>
    <xf numFmtId="2" fontId="4" fillId="0" borderId="0" xfId="0" applyNumberFormat="1" applyFont="1"/>
    <xf numFmtId="41" fontId="8" fillId="0" borderId="0" xfId="0" applyNumberFormat="1" applyFont="1"/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48BE8-38BA-4889-BBAC-DFB9304261FD}">
  <dimension ref="D4:J88"/>
  <sheetViews>
    <sheetView topLeftCell="E40" zoomScale="110" zoomScaleNormal="110" workbookViewId="0">
      <selection activeCell="I45" sqref="I45"/>
    </sheetView>
  </sheetViews>
  <sheetFormatPr defaultRowHeight="15.75" x14ac:dyDescent="0.25"/>
  <cols>
    <col min="1" max="3" width="9.140625" style="1"/>
    <col min="4" max="4" width="53.28515625" style="1" bestFit="1" customWidth="1"/>
    <col min="5" max="5" width="15.85546875" style="1" bestFit="1" customWidth="1"/>
    <col min="6" max="6" width="21.42578125" style="1" bestFit="1" customWidth="1"/>
    <col min="7" max="7" width="25.28515625" style="1" bestFit="1" customWidth="1"/>
    <col min="8" max="8" width="20.85546875" style="1" bestFit="1" customWidth="1"/>
    <col min="9" max="9" width="17.7109375" style="1" bestFit="1" customWidth="1"/>
    <col min="10" max="10" width="15.85546875" style="1" bestFit="1" customWidth="1"/>
    <col min="11" max="16384" width="9.140625" style="1"/>
  </cols>
  <sheetData>
    <row r="4" spans="4:8" x14ac:dyDescent="0.25">
      <c r="D4" s="2" t="s">
        <v>60</v>
      </c>
    </row>
    <row r="6" spans="4:8" x14ac:dyDescent="0.25">
      <c r="D6" s="2" t="s">
        <v>0</v>
      </c>
      <c r="G6" s="2" t="s">
        <v>14</v>
      </c>
      <c r="H6" s="2" t="s">
        <v>14</v>
      </c>
    </row>
    <row r="7" spans="4:8" x14ac:dyDescent="0.25">
      <c r="D7" s="1" t="s">
        <v>6</v>
      </c>
      <c r="H7" s="9">
        <f>Sheet2!D4</f>
        <v>500000000</v>
      </c>
    </row>
    <row r="8" spans="4:8" x14ac:dyDescent="0.25">
      <c r="D8" s="2" t="s">
        <v>1</v>
      </c>
    </row>
    <row r="9" spans="4:8" x14ac:dyDescent="0.25">
      <c r="D9" s="1" t="s">
        <v>2</v>
      </c>
      <c r="G9" s="9">
        <f>Sheet2!D6</f>
        <v>1000000</v>
      </c>
      <c r="H9" s="5"/>
    </row>
    <row r="10" spans="4:8" x14ac:dyDescent="0.25">
      <c r="D10" s="1" t="s">
        <v>3</v>
      </c>
      <c r="G10" s="9">
        <f>Sheet2!D8</f>
        <v>5000000</v>
      </c>
    </row>
    <row r="11" spans="4:8" x14ac:dyDescent="0.25">
      <c r="D11" s="1" t="s">
        <v>38</v>
      </c>
      <c r="G11" s="9">
        <f>Sheet2!D7</f>
        <v>1500000</v>
      </c>
    </row>
    <row r="12" spans="4:8" x14ac:dyDescent="0.25">
      <c r="D12" s="1" t="s">
        <v>4</v>
      </c>
      <c r="G12" s="9">
        <f>Sheet2!D9</f>
        <v>2000000</v>
      </c>
      <c r="H12" s="9">
        <f>G9+G10+G11+G12</f>
        <v>9500000</v>
      </c>
    </row>
    <row r="13" spans="4:8" s="2" customFormat="1" x14ac:dyDescent="0.25">
      <c r="D13" s="2" t="s">
        <v>5</v>
      </c>
      <c r="H13" s="10">
        <f>H7+H12</f>
        <v>509500000</v>
      </c>
    </row>
    <row r="14" spans="4:8" x14ac:dyDescent="0.25">
      <c r="D14" s="2" t="s">
        <v>7</v>
      </c>
    </row>
    <row r="15" spans="4:8" x14ac:dyDescent="0.25">
      <c r="D15" s="1" t="s">
        <v>10</v>
      </c>
      <c r="G15" s="9">
        <f>Sheet2!D10</f>
        <v>100000000</v>
      </c>
    </row>
    <row r="16" spans="4:8" x14ac:dyDescent="0.25">
      <c r="D16" s="1" t="s">
        <v>11</v>
      </c>
      <c r="G16" s="9">
        <f>Sheet2!D19</f>
        <v>45000000</v>
      </c>
    </row>
    <row r="17" spans="4:9" x14ac:dyDescent="0.25">
      <c r="D17" s="1" t="s">
        <v>12</v>
      </c>
      <c r="G17" s="9">
        <f>Sheet2!D17</f>
        <v>35000000</v>
      </c>
      <c r="H17" s="9">
        <f>SUM(G15:G17)</f>
        <v>180000000</v>
      </c>
    </row>
    <row r="18" spans="4:9" s="2" customFormat="1" x14ac:dyDescent="0.25">
      <c r="D18" s="2" t="s">
        <v>15</v>
      </c>
      <c r="H18" s="10">
        <f>H13+H17</f>
        <v>689500000</v>
      </c>
    </row>
    <row r="19" spans="4:9" x14ac:dyDescent="0.25">
      <c r="D19" s="2" t="s">
        <v>8</v>
      </c>
    </row>
    <row r="20" spans="4:9" x14ac:dyDescent="0.25">
      <c r="D20" s="2" t="s">
        <v>45</v>
      </c>
      <c r="G20" s="11">
        <v>25000000</v>
      </c>
    </row>
    <row r="21" spans="4:9" x14ac:dyDescent="0.25">
      <c r="D21" s="1" t="s">
        <v>61</v>
      </c>
      <c r="G21" s="9">
        <f>Sheet2!D7*Sheet2!D11</f>
        <v>300000</v>
      </c>
      <c r="H21" s="9">
        <f>SUM(G20:G21)</f>
        <v>25300000</v>
      </c>
    </row>
    <row r="22" spans="4:9" s="12" customFormat="1" x14ac:dyDescent="0.25">
      <c r="D22" s="13" t="s">
        <v>9</v>
      </c>
      <c r="H22" s="14">
        <f>H18-H21</f>
        <v>664200000</v>
      </c>
    </row>
    <row r="25" spans="4:9" x14ac:dyDescent="0.25">
      <c r="D25" s="1" t="s">
        <v>13</v>
      </c>
    </row>
    <row r="28" spans="4:9" x14ac:dyDescent="0.25">
      <c r="D28" s="2" t="s">
        <v>33</v>
      </c>
    </row>
    <row r="30" spans="4:9" x14ac:dyDescent="0.25">
      <c r="D30" s="2" t="s">
        <v>0</v>
      </c>
      <c r="E30" s="1" t="s">
        <v>19</v>
      </c>
      <c r="F30" s="1" t="s">
        <v>20</v>
      </c>
      <c r="G30" s="1" t="s">
        <v>21</v>
      </c>
      <c r="H30" s="1" t="s">
        <v>22</v>
      </c>
      <c r="I30" s="1" t="s">
        <v>23</v>
      </c>
    </row>
    <row r="31" spans="4:9" x14ac:dyDescent="0.25">
      <c r="D31" s="1" t="s">
        <v>16</v>
      </c>
      <c r="E31" s="9">
        <f>Sheet2!D21</f>
        <v>300000000</v>
      </c>
      <c r="F31" s="9">
        <f>Sheet2!$D$21+Sheet1!E31</f>
        <v>600000000</v>
      </c>
      <c r="G31" s="9">
        <f>Sheet2!$D$21+Sheet1!F31</f>
        <v>900000000</v>
      </c>
      <c r="H31" s="9">
        <f>Sheet2!$D$21+Sheet1!G31</f>
        <v>1200000000</v>
      </c>
      <c r="I31" s="9">
        <f>Sheet2!$D$21+Sheet1!H31</f>
        <v>1500000000</v>
      </c>
    </row>
    <row r="32" spans="4:9" x14ac:dyDescent="0.25">
      <c r="D32" s="1" t="s">
        <v>17</v>
      </c>
      <c r="E32" s="9">
        <f>Sheet2!$D$24</f>
        <v>2000000</v>
      </c>
      <c r="F32" s="9">
        <f>Sheet2!$D$24</f>
        <v>2000000</v>
      </c>
      <c r="G32" s="9">
        <f>Sheet2!$D$24</f>
        <v>2000000</v>
      </c>
      <c r="H32" s="9">
        <f>Sheet2!$D$24</f>
        <v>2000000</v>
      </c>
      <c r="I32" s="9">
        <f>Sheet2!$D$24</f>
        <v>2000000</v>
      </c>
    </row>
    <row r="33" spans="4:9" s="2" customFormat="1" x14ac:dyDescent="0.25">
      <c r="D33" s="2" t="s">
        <v>18</v>
      </c>
      <c r="E33" s="10">
        <f>SUM(E31:E32)</f>
        <v>302000000</v>
      </c>
      <c r="F33" s="10">
        <f t="shared" ref="F33:I33" si="0">SUM(F31:F32)</f>
        <v>602000000</v>
      </c>
      <c r="G33" s="10">
        <f t="shared" si="0"/>
        <v>902000000</v>
      </c>
      <c r="H33" s="10">
        <f t="shared" si="0"/>
        <v>1202000000</v>
      </c>
      <c r="I33" s="10">
        <f t="shared" si="0"/>
        <v>1502000000</v>
      </c>
    </row>
    <row r="34" spans="4:9" x14ac:dyDescent="0.25">
      <c r="D34" s="1" t="s">
        <v>24</v>
      </c>
    </row>
    <row r="35" spans="4:9" x14ac:dyDescent="0.25">
      <c r="D35" s="1" t="s">
        <v>25</v>
      </c>
      <c r="E35" s="9">
        <f>Sheet2!D22</f>
        <v>24000000</v>
      </c>
      <c r="F35" s="9">
        <f>Sheet2!$D$22+Sheet1!E35</f>
        <v>48000000</v>
      </c>
      <c r="G35" s="9">
        <f>Sheet2!$D$22+Sheet1!F35</f>
        <v>72000000</v>
      </c>
      <c r="H35" s="9">
        <f>Sheet2!$D$22+Sheet1!G35</f>
        <v>96000000</v>
      </c>
      <c r="I35" s="9">
        <f>Sheet2!$D$22+Sheet1!H35</f>
        <v>120000000</v>
      </c>
    </row>
    <row r="36" spans="4:9" x14ac:dyDescent="0.25">
      <c r="D36" s="1" t="s">
        <v>26</v>
      </c>
      <c r="E36" s="9">
        <f>Sheet2!D23</f>
        <v>45000000</v>
      </c>
      <c r="F36" s="9">
        <f>Sheet2!$D$23+Sheet1!E36</f>
        <v>90000000</v>
      </c>
      <c r="G36" s="9">
        <f>Sheet2!$D$23+Sheet1!F36</f>
        <v>135000000</v>
      </c>
      <c r="H36" s="9">
        <f>Sheet2!$D$23+Sheet1!G36</f>
        <v>180000000</v>
      </c>
      <c r="I36" s="9">
        <f>Sheet2!$D$23+Sheet1!H36</f>
        <v>225000000</v>
      </c>
    </row>
    <row r="37" spans="4:9" s="2" customFormat="1" x14ac:dyDescent="0.25">
      <c r="D37" s="2" t="s">
        <v>27</v>
      </c>
      <c r="E37" s="10">
        <f>E33-(E35+E36)</f>
        <v>233000000</v>
      </c>
      <c r="F37" s="10">
        <f t="shared" ref="F37:I37" si="1">F33-(F35+F36)</f>
        <v>464000000</v>
      </c>
      <c r="G37" s="10">
        <f t="shared" si="1"/>
        <v>695000000</v>
      </c>
      <c r="H37" s="10">
        <f t="shared" si="1"/>
        <v>926000000</v>
      </c>
      <c r="I37" s="10">
        <f t="shared" si="1"/>
        <v>1157000000</v>
      </c>
    </row>
    <row r="38" spans="4:9" x14ac:dyDescent="0.25">
      <c r="D38" s="1" t="s">
        <v>28</v>
      </c>
      <c r="E38" s="9">
        <f>H51</f>
        <v>76425000</v>
      </c>
      <c r="F38" s="9">
        <f>H52</f>
        <v>64961250</v>
      </c>
      <c r="G38" s="9">
        <f>H53</f>
        <v>55217062.5</v>
      </c>
      <c r="H38" s="9">
        <f>H54</f>
        <v>46934503.125</v>
      </c>
      <c r="I38" s="9">
        <f>H55</f>
        <v>39894327.65625</v>
      </c>
    </row>
    <row r="39" spans="4:9" s="2" customFormat="1" x14ac:dyDescent="0.25">
      <c r="D39" s="2" t="s">
        <v>29</v>
      </c>
      <c r="E39" s="10">
        <f>E37-E38</f>
        <v>156575000</v>
      </c>
      <c r="F39" s="10">
        <f t="shared" ref="F39:I39" si="2">F37-F38</f>
        <v>399038750</v>
      </c>
      <c r="G39" s="10">
        <f t="shared" si="2"/>
        <v>639782937.5</v>
      </c>
      <c r="H39" s="10">
        <f t="shared" si="2"/>
        <v>879065496.875</v>
      </c>
      <c r="I39" s="10">
        <f t="shared" si="2"/>
        <v>1117105672.34375</v>
      </c>
    </row>
    <row r="40" spans="4:9" x14ac:dyDescent="0.25">
      <c r="D40" s="1" t="s">
        <v>30</v>
      </c>
      <c r="E40" s="9">
        <f>E39*Sheet2!$D$27</f>
        <v>46972500</v>
      </c>
      <c r="F40" s="9">
        <f>F39*Sheet2!$D$27</f>
        <v>119711625</v>
      </c>
      <c r="G40" s="9">
        <f>G39*Sheet2!$D$27</f>
        <v>191934881.25</v>
      </c>
      <c r="H40" s="9">
        <f>H39*Sheet2!$D$27</f>
        <v>263719649.0625</v>
      </c>
      <c r="I40" s="9">
        <f>I39*Sheet2!$D$27</f>
        <v>335131701.703125</v>
      </c>
    </row>
    <row r="41" spans="4:9" s="2" customFormat="1" x14ac:dyDescent="0.25">
      <c r="D41" s="2" t="s">
        <v>31</v>
      </c>
      <c r="E41" s="10">
        <f>E39-E40</f>
        <v>109602500</v>
      </c>
      <c r="F41" s="10">
        <f t="shared" ref="F41:I41" si="3">F39-F40</f>
        <v>279327125</v>
      </c>
      <c r="G41" s="10">
        <f t="shared" si="3"/>
        <v>447848056.25</v>
      </c>
      <c r="H41" s="10">
        <f t="shared" si="3"/>
        <v>615345847.8125</v>
      </c>
      <c r="I41" s="10">
        <f t="shared" si="3"/>
        <v>781973970.640625</v>
      </c>
    </row>
    <row r="42" spans="4:9" x14ac:dyDescent="0.25">
      <c r="D42" s="1" t="s">
        <v>32</v>
      </c>
      <c r="E42" s="9">
        <f>H51</f>
        <v>76425000</v>
      </c>
      <c r="F42" s="9">
        <f>H52</f>
        <v>64961250</v>
      </c>
      <c r="G42" s="9">
        <f>H53</f>
        <v>55217062.5</v>
      </c>
      <c r="H42" s="9">
        <f>H54</f>
        <v>46934503.125</v>
      </c>
      <c r="I42" s="9">
        <f>H55</f>
        <v>39894327.65625</v>
      </c>
    </row>
    <row r="43" spans="4:9" s="19" customFormat="1" x14ac:dyDescent="0.25">
      <c r="D43" s="19" t="s">
        <v>35</v>
      </c>
      <c r="E43" s="20">
        <f>SUM(E41:E42)</f>
        <v>186027500</v>
      </c>
      <c r="F43" s="20">
        <f t="shared" ref="F43:I43" si="4">SUM(F41:F42)</f>
        <v>344288375</v>
      </c>
      <c r="G43" s="20">
        <f t="shared" si="4"/>
        <v>503065118.75</v>
      </c>
      <c r="H43" s="20">
        <f t="shared" si="4"/>
        <v>662280350.9375</v>
      </c>
      <c r="I43" s="20">
        <f t="shared" si="4"/>
        <v>821868298.296875</v>
      </c>
    </row>
    <row r="44" spans="4:9" s="2" customFormat="1" x14ac:dyDescent="0.25">
      <c r="D44" s="2" t="s">
        <v>34</v>
      </c>
    </row>
    <row r="45" spans="4:9" x14ac:dyDescent="0.25">
      <c r="D45" s="1" t="s">
        <v>36</v>
      </c>
      <c r="I45" s="9">
        <f>Sheet2!D13-(Sheet2!D27*(Sheet2!D13-Sheet1!I55))</f>
        <v>120320357.015625</v>
      </c>
    </row>
    <row r="46" spans="4:9" x14ac:dyDescent="0.25">
      <c r="D46" s="1" t="s">
        <v>37</v>
      </c>
      <c r="I46" s="9">
        <f>Sheet2!D17*Sheet2!D18</f>
        <v>26250000</v>
      </c>
    </row>
    <row r="47" spans="4:9" s="2" customFormat="1" x14ac:dyDescent="0.25">
      <c r="D47" s="2" t="s">
        <v>77</v>
      </c>
      <c r="E47" s="10">
        <f>SUM(E43:E46)</f>
        <v>186027500</v>
      </c>
      <c r="F47" s="10">
        <f t="shared" ref="F47:I47" si="5">SUM(F43:F46)</f>
        <v>344288375</v>
      </c>
      <c r="G47" s="10">
        <f t="shared" si="5"/>
        <v>503065118.75</v>
      </c>
      <c r="H47" s="10">
        <f t="shared" si="5"/>
        <v>662280350.9375</v>
      </c>
      <c r="I47" s="10">
        <f t="shared" si="5"/>
        <v>968438655.3125</v>
      </c>
    </row>
    <row r="48" spans="4:9" x14ac:dyDescent="0.25">
      <c r="I48" s="9"/>
    </row>
    <row r="50" spans="5:10" s="18" customFormat="1" x14ac:dyDescent="0.25">
      <c r="E50" s="18" t="s">
        <v>66</v>
      </c>
      <c r="F50" s="18" t="s">
        <v>67</v>
      </c>
      <c r="G50" s="18" t="s">
        <v>68</v>
      </c>
      <c r="H50" s="18" t="s">
        <v>69</v>
      </c>
      <c r="I50" s="18" t="s">
        <v>70</v>
      </c>
    </row>
    <row r="51" spans="5:10" x14ac:dyDescent="0.25">
      <c r="E51" s="1" t="s">
        <v>19</v>
      </c>
      <c r="F51" s="9">
        <f>H13</f>
        <v>509500000</v>
      </c>
      <c r="G51" s="15">
        <f>Sheet2!$D$20</f>
        <v>0.15</v>
      </c>
      <c r="H51" s="9">
        <f>$F$51*$G$51</f>
        <v>76425000</v>
      </c>
      <c r="I51" s="9">
        <f>F51-H51</f>
        <v>433075000</v>
      </c>
      <c r="J51" s="1" t="s">
        <v>76</v>
      </c>
    </row>
    <row r="52" spans="5:10" x14ac:dyDescent="0.25">
      <c r="E52" s="1" t="s">
        <v>20</v>
      </c>
      <c r="F52" s="9">
        <f>I51</f>
        <v>433075000</v>
      </c>
      <c r="G52" s="15">
        <f>Sheet2!$D$20</f>
        <v>0.15</v>
      </c>
      <c r="H52" s="9">
        <f>F52*G52</f>
        <v>64961250</v>
      </c>
      <c r="I52" s="9">
        <f>F52-H52</f>
        <v>368113750</v>
      </c>
    </row>
    <row r="53" spans="5:10" x14ac:dyDescent="0.25">
      <c r="E53" s="1" t="s">
        <v>21</v>
      </c>
      <c r="F53" s="9">
        <f t="shared" ref="F53:F55" si="6">I52</f>
        <v>368113750</v>
      </c>
      <c r="G53" s="15">
        <f>Sheet2!$D$20</f>
        <v>0.15</v>
      </c>
      <c r="H53" s="9">
        <f t="shared" ref="H53:H55" si="7">F53*G53</f>
        <v>55217062.5</v>
      </c>
      <c r="I53" s="9">
        <f t="shared" ref="I53:I55" si="8">F53-H53</f>
        <v>312896687.5</v>
      </c>
    </row>
    <row r="54" spans="5:10" x14ac:dyDescent="0.25">
      <c r="E54" s="1" t="s">
        <v>22</v>
      </c>
      <c r="F54" s="9">
        <f t="shared" si="6"/>
        <v>312896687.5</v>
      </c>
      <c r="G54" s="15">
        <f>Sheet2!$D$20</f>
        <v>0.15</v>
      </c>
      <c r="H54" s="9">
        <f t="shared" si="7"/>
        <v>46934503.125</v>
      </c>
      <c r="I54" s="9">
        <f t="shared" si="8"/>
        <v>265962184.375</v>
      </c>
    </row>
    <row r="55" spans="5:10" x14ac:dyDescent="0.25">
      <c r="E55" s="1" t="s">
        <v>23</v>
      </c>
      <c r="F55" s="9">
        <f t="shared" si="6"/>
        <v>265962184.375</v>
      </c>
      <c r="G55" s="15">
        <f>Sheet2!$D$20</f>
        <v>0.15</v>
      </c>
      <c r="H55" s="9">
        <f t="shared" si="7"/>
        <v>39894327.65625</v>
      </c>
      <c r="I55" s="9">
        <f t="shared" si="8"/>
        <v>226067856.71875</v>
      </c>
    </row>
    <row r="56" spans="5:10" x14ac:dyDescent="0.25">
      <c r="F56" s="9"/>
      <c r="G56" s="9"/>
      <c r="H56" s="9"/>
      <c r="I56" s="9"/>
      <c r="J56" s="9"/>
    </row>
    <row r="57" spans="5:10" x14ac:dyDescent="0.25">
      <c r="F57" s="9"/>
      <c r="G57" s="9"/>
      <c r="H57" s="9"/>
      <c r="I57" s="9"/>
      <c r="J57" s="9"/>
    </row>
    <row r="59" spans="5:10" x14ac:dyDescent="0.25">
      <c r="F59" s="9">
        <f>(Sheet2!D13-Sheet1!I55)*0.3</f>
        <v>-45320357.015625</v>
      </c>
    </row>
    <row r="61" spans="5:10" x14ac:dyDescent="0.25">
      <c r="F61" s="9">
        <f>Sheet2!D13-Sheet1!F59</f>
        <v>120320357.015625</v>
      </c>
    </row>
    <row r="62" spans="5:10" x14ac:dyDescent="0.25">
      <c r="F62" s="11"/>
      <c r="G62" s="11"/>
      <c r="H62" s="11"/>
      <c r="I62" s="11"/>
      <c r="J62" s="11"/>
    </row>
    <row r="64" spans="5:10" x14ac:dyDescent="0.25">
      <c r="E64" s="1" t="s">
        <v>66</v>
      </c>
      <c r="F64" s="1" t="s">
        <v>71</v>
      </c>
      <c r="G64" s="1" t="s">
        <v>73</v>
      </c>
      <c r="H64" s="1" t="s">
        <v>72</v>
      </c>
    </row>
    <row r="65" spans="5:8" x14ac:dyDescent="0.25">
      <c r="E65" s="1">
        <v>0</v>
      </c>
      <c r="F65" s="9">
        <f>-H22</f>
        <v>-664200000</v>
      </c>
      <c r="G65" s="16">
        <f>(1+Sheet2!$D$26)^E65</f>
        <v>1</v>
      </c>
      <c r="H65" s="17">
        <f>F65*G65</f>
        <v>-664200000</v>
      </c>
    </row>
    <row r="66" spans="5:8" x14ac:dyDescent="0.25">
      <c r="E66" s="1">
        <v>1</v>
      </c>
      <c r="F66" s="9">
        <f>E43</f>
        <v>186027500</v>
      </c>
      <c r="G66" s="16">
        <f>(1+Sheet2!$D$26)^E66</f>
        <v>1.1200000000000001</v>
      </c>
      <c r="H66" s="17">
        <f t="shared" ref="H66:H70" si="9">F66*G66</f>
        <v>208350800.00000003</v>
      </c>
    </row>
    <row r="67" spans="5:8" x14ac:dyDescent="0.25">
      <c r="E67" s="1">
        <v>2</v>
      </c>
      <c r="F67" s="9">
        <f>F43</f>
        <v>344288375</v>
      </c>
      <c r="G67" s="16">
        <f>(1+Sheet2!$D$26)^E67</f>
        <v>1.2544000000000002</v>
      </c>
      <c r="H67" s="17">
        <f t="shared" si="9"/>
        <v>431875337.60000008</v>
      </c>
    </row>
    <row r="68" spans="5:8" x14ac:dyDescent="0.25">
      <c r="E68" s="1">
        <v>3</v>
      </c>
      <c r="F68" s="9">
        <f>G43</f>
        <v>503065118.75</v>
      </c>
      <c r="G68" s="16">
        <f>(1+Sheet2!$D$26)^E68</f>
        <v>1.4049280000000004</v>
      </c>
      <c r="H68" s="17">
        <f t="shared" si="9"/>
        <v>706770271.15520024</v>
      </c>
    </row>
    <row r="69" spans="5:8" x14ac:dyDescent="0.25">
      <c r="E69" s="1">
        <v>4</v>
      </c>
      <c r="F69" s="9">
        <f>H43</f>
        <v>662280350.9375</v>
      </c>
      <c r="G69" s="16">
        <f>(1+Sheet2!$D$26)^E69</f>
        <v>1.5735193600000004</v>
      </c>
      <c r="H69" s="17">
        <f t="shared" si="9"/>
        <v>1042110953.9477507</v>
      </c>
    </row>
    <row r="70" spans="5:8" x14ac:dyDescent="0.25">
      <c r="E70" s="1">
        <v>5</v>
      </c>
      <c r="F70" s="9">
        <f>I48</f>
        <v>0</v>
      </c>
      <c r="G70" s="16">
        <f>(1+Sheet2!$D$26)^E70</f>
        <v>1.7623416832000005</v>
      </c>
      <c r="H70" s="17">
        <f t="shared" si="9"/>
        <v>0</v>
      </c>
    </row>
    <row r="72" spans="5:8" x14ac:dyDescent="0.25">
      <c r="E72" s="1" t="s">
        <v>74</v>
      </c>
      <c r="F72" s="17">
        <f>SUM(H65:H70)</f>
        <v>1724907362.702951</v>
      </c>
    </row>
    <row r="76" spans="5:8" x14ac:dyDescent="0.25">
      <c r="F76" s="17"/>
    </row>
    <row r="77" spans="5:8" x14ac:dyDescent="0.25">
      <c r="E77" s="1" t="s">
        <v>66</v>
      </c>
      <c r="F77" s="1" t="s">
        <v>71</v>
      </c>
      <c r="G77" s="17" t="s">
        <v>75</v>
      </c>
    </row>
    <row r="78" spans="5:8" x14ac:dyDescent="0.25">
      <c r="E78" s="1">
        <v>0</v>
      </c>
      <c r="F78" s="11">
        <v>-664200000</v>
      </c>
      <c r="G78" s="11">
        <f>F78</f>
        <v>-664200000</v>
      </c>
    </row>
    <row r="79" spans="5:8" x14ac:dyDescent="0.25">
      <c r="E79" s="1">
        <v>1</v>
      </c>
      <c r="F79" s="11">
        <v>186027500</v>
      </c>
      <c r="G79" s="11">
        <f>F79+G78</f>
        <v>-478172500</v>
      </c>
    </row>
    <row r="80" spans="5:8" x14ac:dyDescent="0.25">
      <c r="E80" s="1">
        <v>2</v>
      </c>
      <c r="F80" s="11">
        <v>344288375</v>
      </c>
      <c r="G80" s="11">
        <f t="shared" ref="G80:G83" si="10">F80+G79</f>
        <v>-133884125</v>
      </c>
    </row>
    <row r="81" spans="5:8" x14ac:dyDescent="0.25">
      <c r="E81" s="1">
        <v>3</v>
      </c>
      <c r="F81" s="11">
        <v>503065118.75</v>
      </c>
      <c r="G81" s="11">
        <f t="shared" si="10"/>
        <v>369180993.75</v>
      </c>
    </row>
    <row r="82" spans="5:8" x14ac:dyDescent="0.25">
      <c r="E82" s="1">
        <v>4</v>
      </c>
      <c r="F82" s="11">
        <v>662280350.9375</v>
      </c>
      <c r="G82" s="11">
        <f t="shared" si="10"/>
        <v>1031461344.6875</v>
      </c>
    </row>
    <row r="83" spans="5:8" x14ac:dyDescent="0.25">
      <c r="E83" s="1">
        <v>5</v>
      </c>
      <c r="F83" s="11">
        <v>968438655.3125</v>
      </c>
      <c r="G83" s="11">
        <f t="shared" si="10"/>
        <v>1999900000</v>
      </c>
    </row>
    <row r="88" spans="5:8" x14ac:dyDescent="0.25">
      <c r="G88" s="17">
        <f>-G80/F81</f>
        <v>0.26613676840221195</v>
      </c>
      <c r="H88" s="17">
        <f>G88*12</f>
        <v>3.1936412208265432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C82E1-5A1D-4ACC-B8AD-A9CFE741F995}">
  <dimension ref="D3:H10"/>
  <sheetViews>
    <sheetView tabSelected="1" workbookViewId="0">
      <selection activeCell="G4" sqref="G4"/>
    </sheetView>
  </sheetViews>
  <sheetFormatPr defaultRowHeight="20.25" x14ac:dyDescent="0.3"/>
  <cols>
    <col min="1" max="4" width="9.140625" style="21"/>
    <col min="5" max="5" width="19.42578125" style="21" bestFit="1" customWidth="1"/>
    <col min="6" max="6" width="16" style="21" bestFit="1" customWidth="1"/>
    <col min="7" max="7" width="23.42578125" style="21" bestFit="1" customWidth="1"/>
    <col min="8" max="8" width="27.7109375" style="21" bestFit="1" customWidth="1"/>
    <col min="9" max="16384" width="9.140625" style="21"/>
  </cols>
  <sheetData>
    <row r="3" spans="4:8" s="22" customFormat="1" x14ac:dyDescent="0.3">
      <c r="D3" s="22" t="s">
        <v>66</v>
      </c>
      <c r="E3" s="22" t="s">
        <v>78</v>
      </c>
      <c r="F3" s="22" t="s">
        <v>73</v>
      </c>
      <c r="G3" s="22" t="s">
        <v>72</v>
      </c>
    </row>
    <row r="4" spans="4:8" x14ac:dyDescent="0.3">
      <c r="D4" s="21">
        <v>0</v>
      </c>
      <c r="E4" s="23">
        <f>-Sheet1!H22</f>
        <v>-664200000</v>
      </c>
      <c r="F4" s="21">
        <v>0</v>
      </c>
      <c r="G4" s="23">
        <f>E4</f>
        <v>-664200000</v>
      </c>
    </row>
    <row r="5" spans="4:8" x14ac:dyDescent="0.3">
      <c r="D5" s="21">
        <v>1</v>
      </c>
      <c r="E5" s="23">
        <f>Sheet1!E47</f>
        <v>186027500</v>
      </c>
      <c r="F5" s="24">
        <f>(1+0.12)^D5</f>
        <v>1.1200000000000001</v>
      </c>
      <c r="G5" s="25">
        <f>E5/F5</f>
        <v>166095982.14285713</v>
      </c>
      <c r="H5" s="26">
        <f>-PV(Sheet2!D26,D5,,E5)</f>
        <v>166095982.14285713</v>
      </c>
    </row>
    <row r="6" spans="4:8" x14ac:dyDescent="0.3">
      <c r="D6" s="21">
        <f t="shared" ref="D6:D9" si="0">D5+1</f>
        <v>2</v>
      </c>
      <c r="E6" s="23">
        <f>Sheet1!F47</f>
        <v>344288375</v>
      </c>
      <c r="F6" s="24">
        <f t="shared" ref="F6:F9" si="1">(1+0.12)^D6</f>
        <v>1.2544000000000002</v>
      </c>
      <c r="G6" s="25">
        <f t="shared" ref="G6:G9" si="2">E6/F6</f>
        <v>274464584.66198975</v>
      </c>
    </row>
    <row r="7" spans="4:8" x14ac:dyDescent="0.3">
      <c r="D7" s="21">
        <f t="shared" si="0"/>
        <v>3</v>
      </c>
      <c r="E7" s="23">
        <f>Sheet1!G47</f>
        <v>503065118.75</v>
      </c>
      <c r="F7" s="24">
        <f t="shared" si="1"/>
        <v>1.4049280000000004</v>
      </c>
      <c r="G7" s="25">
        <f t="shared" si="2"/>
        <v>358071814.890158</v>
      </c>
    </row>
    <row r="8" spans="4:8" x14ac:dyDescent="0.3">
      <c r="D8" s="21">
        <f t="shared" si="0"/>
        <v>4</v>
      </c>
      <c r="E8" s="23">
        <f>Sheet1!H47</f>
        <v>662280350.9375</v>
      </c>
      <c r="F8" s="24">
        <f t="shared" si="1"/>
        <v>1.5735193600000004</v>
      </c>
      <c r="G8" s="25">
        <f t="shared" si="2"/>
        <v>420891135.99307722</v>
      </c>
    </row>
    <row r="9" spans="4:8" x14ac:dyDescent="0.3">
      <c r="D9" s="21">
        <f t="shared" si="0"/>
        <v>5</v>
      </c>
      <c r="E9" s="23">
        <f>Sheet1!I47</f>
        <v>968438655.3125</v>
      </c>
      <c r="F9" s="24">
        <f t="shared" si="1"/>
        <v>1.7623416832000005</v>
      </c>
      <c r="G9" s="25">
        <f t="shared" si="2"/>
        <v>549518101.14032018</v>
      </c>
    </row>
    <row r="10" spans="4:8" s="22" customFormat="1" x14ac:dyDescent="0.3">
      <c r="F10" s="22" t="s">
        <v>74</v>
      </c>
      <c r="G10" s="28">
        <f>SUM(G4:G9)</f>
        <v>1104841618.8284023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43C8E-63FD-4F3D-9098-6617226BB914}">
  <dimension ref="C2:F37"/>
  <sheetViews>
    <sheetView topLeftCell="A22" zoomScale="150" zoomScaleNormal="150" workbookViewId="0">
      <selection activeCell="D27" sqref="D27"/>
    </sheetView>
  </sheetViews>
  <sheetFormatPr defaultRowHeight="15.75" x14ac:dyDescent="0.25"/>
  <cols>
    <col min="1" max="2" width="9.140625" style="3"/>
    <col min="3" max="3" width="30.42578125" style="3" bestFit="1" customWidth="1"/>
    <col min="4" max="4" width="16.140625" style="3" bestFit="1" customWidth="1"/>
    <col min="5" max="16384" width="9.140625" style="3"/>
  </cols>
  <sheetData>
    <row r="2" spans="3:6" x14ac:dyDescent="0.25">
      <c r="C2" s="3" t="s">
        <v>39</v>
      </c>
    </row>
    <row r="4" spans="3:6" x14ac:dyDescent="0.25">
      <c r="C4" s="3" t="s">
        <v>40</v>
      </c>
      <c r="D4" s="5">
        <v>500000000</v>
      </c>
    </row>
    <row r="5" spans="3:6" x14ac:dyDescent="0.25">
      <c r="C5" s="3" t="s">
        <v>41</v>
      </c>
    </row>
    <row r="6" spans="3:6" x14ac:dyDescent="0.25">
      <c r="C6" s="3" t="s">
        <v>42</v>
      </c>
      <c r="D6" s="5">
        <v>1000000</v>
      </c>
    </row>
    <row r="7" spans="3:6" x14ac:dyDescent="0.25">
      <c r="C7" s="3" t="s">
        <v>38</v>
      </c>
      <c r="D7" s="5">
        <v>1500000</v>
      </c>
    </row>
    <row r="8" spans="3:6" x14ac:dyDescent="0.25">
      <c r="C8" s="3" t="s">
        <v>3</v>
      </c>
      <c r="D8" s="5">
        <v>5000000</v>
      </c>
    </row>
    <row r="9" spans="3:6" x14ac:dyDescent="0.25">
      <c r="C9" s="3" t="s">
        <v>4</v>
      </c>
      <c r="D9" s="5">
        <v>2000000</v>
      </c>
    </row>
    <row r="10" spans="3:6" x14ac:dyDescent="0.25">
      <c r="C10" s="3" t="s">
        <v>43</v>
      </c>
      <c r="D10" s="5">
        <v>100000000</v>
      </c>
    </row>
    <row r="11" spans="3:6" x14ac:dyDescent="0.25">
      <c r="C11" s="3" t="s">
        <v>44</v>
      </c>
      <c r="D11" s="6">
        <v>0.2</v>
      </c>
    </row>
    <row r="12" spans="3:6" x14ac:dyDescent="0.25">
      <c r="C12" s="3" t="s">
        <v>45</v>
      </c>
      <c r="D12" s="5">
        <v>25000000</v>
      </c>
    </row>
    <row r="13" spans="3:6" x14ac:dyDescent="0.25">
      <c r="C13" s="3" t="s">
        <v>46</v>
      </c>
      <c r="D13" s="5">
        <v>75000000</v>
      </c>
      <c r="F13" s="7"/>
    </row>
    <row r="14" spans="3:6" x14ac:dyDescent="0.25">
      <c r="C14" s="3" t="s">
        <v>47</v>
      </c>
    </row>
    <row r="15" spans="3:6" x14ac:dyDescent="0.25">
      <c r="C15" s="4" t="s">
        <v>48</v>
      </c>
      <c r="D15" s="5">
        <v>8500000</v>
      </c>
    </row>
    <row r="16" spans="3:6" x14ac:dyDescent="0.25">
      <c r="C16" s="4" t="s">
        <v>49</v>
      </c>
      <c r="D16" s="5">
        <v>2000000</v>
      </c>
    </row>
    <row r="17" spans="3:4" x14ac:dyDescent="0.25">
      <c r="C17" s="3" t="s">
        <v>50</v>
      </c>
      <c r="D17" s="5">
        <v>35000000</v>
      </c>
    </row>
    <row r="18" spans="3:4" x14ac:dyDescent="0.25">
      <c r="C18" s="3" t="s">
        <v>37</v>
      </c>
      <c r="D18" s="7">
        <v>0.75</v>
      </c>
    </row>
    <row r="19" spans="3:4" x14ac:dyDescent="0.25">
      <c r="C19" s="3" t="s">
        <v>51</v>
      </c>
      <c r="D19" s="5">
        <v>45000000</v>
      </c>
    </row>
    <row r="20" spans="3:4" x14ac:dyDescent="0.25">
      <c r="C20" s="3" t="s">
        <v>52</v>
      </c>
      <c r="D20" s="7">
        <v>0.15</v>
      </c>
    </row>
    <row r="21" spans="3:4" x14ac:dyDescent="0.25">
      <c r="C21" s="3" t="s">
        <v>53</v>
      </c>
      <c r="D21" s="5">
        <v>300000000</v>
      </c>
    </row>
    <row r="22" spans="3:4" x14ac:dyDescent="0.25">
      <c r="C22" s="3" t="s">
        <v>54</v>
      </c>
      <c r="D22" s="5">
        <v>24000000</v>
      </c>
    </row>
    <row r="23" spans="3:4" x14ac:dyDescent="0.25">
      <c r="C23" s="3" t="s">
        <v>55</v>
      </c>
      <c r="D23" s="5">
        <v>45000000</v>
      </c>
    </row>
    <row r="24" spans="3:4" x14ac:dyDescent="0.25">
      <c r="C24" s="3" t="s">
        <v>56</v>
      </c>
      <c r="D24" s="5">
        <v>2000000</v>
      </c>
    </row>
    <row r="25" spans="3:4" x14ac:dyDescent="0.25">
      <c r="C25" s="3" t="s">
        <v>57</v>
      </c>
      <c r="D25" s="5">
        <v>6000000</v>
      </c>
    </row>
    <row r="26" spans="3:4" x14ac:dyDescent="0.25">
      <c r="C26" s="3" t="s">
        <v>58</v>
      </c>
      <c r="D26" s="8">
        <v>0.12</v>
      </c>
    </row>
    <row r="27" spans="3:4" x14ac:dyDescent="0.25">
      <c r="C27" s="3" t="s">
        <v>59</v>
      </c>
      <c r="D27" s="27">
        <v>0.3</v>
      </c>
    </row>
    <row r="28" spans="3:4" x14ac:dyDescent="0.25">
      <c r="C28" s="3" t="s">
        <v>62</v>
      </c>
      <c r="D28" s="3">
        <v>5</v>
      </c>
    </row>
    <row r="31" spans="3:4" x14ac:dyDescent="0.25">
      <c r="C31" s="3" t="s">
        <v>63</v>
      </c>
    </row>
    <row r="34" spans="3:3" x14ac:dyDescent="0.25">
      <c r="C34" s="3" t="s">
        <v>64</v>
      </c>
    </row>
    <row r="37" spans="3:3" x14ac:dyDescent="0.25">
      <c r="C37" s="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NPV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Lecturer - Screen</cp:lastModifiedBy>
  <dcterms:created xsi:type="dcterms:W3CDTF">2025-08-30T07:23:22Z</dcterms:created>
  <dcterms:modified xsi:type="dcterms:W3CDTF">2025-09-08T09:21:41Z</dcterms:modified>
</cp:coreProperties>
</file>